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bbettencourt\Desktop\delete after use 20191014\PHLN\"/>
    </mc:Choice>
  </mc:AlternateContent>
  <bookViews>
    <workbookView xWindow="0" yWindow="0" windowWidth="23040" windowHeight="9384" activeTab="1"/>
  </bookViews>
  <sheets>
    <sheet name="2019 Medical Capacity" sheetId="12" r:id="rId1"/>
    <sheet name="Correction Worksheet-Med" sheetId="1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2" l="1"/>
  <c r="H16" i="12"/>
  <c r="G18" i="12" l="1"/>
  <c r="G19" i="12" l="1"/>
  <c r="M20" i="12" l="1"/>
  <c r="L20" i="12"/>
  <c r="E20" i="12"/>
  <c r="B20" i="12"/>
  <c r="B19" i="12"/>
  <c r="M18" i="12"/>
  <c r="L18" i="12"/>
  <c r="E18" i="12"/>
  <c r="B18" i="12"/>
  <c r="C11" i="12"/>
  <c r="D11" i="12"/>
  <c r="F11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" i="12"/>
  <c r="C9" i="12"/>
  <c r="D9" i="12"/>
  <c r="F9" i="12"/>
  <c r="C4" i="12"/>
  <c r="D4" i="12"/>
  <c r="F4" i="12"/>
  <c r="I4" i="12"/>
  <c r="H4" i="12"/>
  <c r="I11" i="12"/>
  <c r="H11" i="12"/>
  <c r="I9" i="12"/>
  <c r="H9" i="12"/>
  <c r="M19" i="12"/>
  <c r="L19" i="12"/>
  <c r="C14" i="12"/>
  <c r="D14" i="12"/>
  <c r="F14" i="12"/>
  <c r="C2" i="12"/>
  <c r="D2" i="12"/>
  <c r="F2" i="12"/>
  <c r="C8" i="12"/>
  <c r="D8" i="12"/>
  <c r="F8" i="12"/>
  <c r="C6" i="12"/>
  <c r="D6" i="12"/>
  <c r="F6" i="12"/>
  <c r="C12" i="12"/>
  <c r="D12" i="12"/>
  <c r="F12" i="12"/>
  <c r="C3" i="12"/>
  <c r="D3" i="12"/>
  <c r="F3" i="12"/>
  <c r="C16" i="12"/>
  <c r="D16" i="12"/>
  <c r="F16" i="12"/>
  <c r="C7" i="12"/>
  <c r="D7" i="12"/>
  <c r="F7" i="12"/>
  <c r="C13" i="12"/>
  <c r="D13" i="12"/>
  <c r="F13" i="12"/>
  <c r="C17" i="12"/>
  <c r="D17" i="12"/>
  <c r="F17" i="12"/>
  <c r="C15" i="12"/>
  <c r="D15" i="12"/>
  <c r="F15" i="12"/>
  <c r="C10" i="12"/>
  <c r="D10" i="12"/>
  <c r="F10" i="12"/>
  <c r="C5" i="12"/>
  <c r="D5" i="12"/>
  <c r="F5" i="12"/>
  <c r="F20" i="12"/>
  <c r="T22" i="13"/>
  <c r="T21" i="13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2" i="13"/>
  <c r="N22" i="13"/>
  <c r="E22" i="13"/>
  <c r="O22" i="13"/>
  <c r="Q22" i="13"/>
  <c r="K21" i="13"/>
  <c r="J21" i="13"/>
  <c r="I21" i="13"/>
  <c r="H21" i="13"/>
  <c r="G21" i="13"/>
  <c r="N21" i="13"/>
  <c r="E21" i="13"/>
  <c r="E19" i="12"/>
  <c r="V17" i="13"/>
  <c r="M17" i="13"/>
  <c r="L17" i="13"/>
  <c r="B17" i="13"/>
  <c r="K17" i="13"/>
  <c r="J17" i="13"/>
  <c r="F17" i="13"/>
  <c r="E17" i="13"/>
  <c r="I17" i="13"/>
  <c r="V16" i="13"/>
  <c r="M16" i="13"/>
  <c r="L16" i="13"/>
  <c r="B16" i="13"/>
  <c r="K16" i="13"/>
  <c r="J16" i="13"/>
  <c r="F16" i="13"/>
  <c r="E16" i="13"/>
  <c r="I16" i="13"/>
  <c r="V15" i="13"/>
  <c r="M15" i="13"/>
  <c r="L15" i="13"/>
  <c r="B15" i="13"/>
  <c r="K15" i="13"/>
  <c r="J15" i="13"/>
  <c r="F15" i="13"/>
  <c r="E15" i="13"/>
  <c r="I15" i="13"/>
  <c r="K14" i="13"/>
  <c r="J14" i="13"/>
  <c r="I14" i="13"/>
  <c r="H14" i="13"/>
  <c r="G14" i="13"/>
  <c r="N14" i="13"/>
  <c r="E14" i="13"/>
  <c r="O14" i="13"/>
  <c r="Q14" i="13"/>
  <c r="U14" i="13"/>
  <c r="W14" i="13"/>
  <c r="K13" i="13"/>
  <c r="J13" i="13"/>
  <c r="G13" i="13"/>
  <c r="H13" i="13"/>
  <c r="I13" i="13"/>
  <c r="N13" i="13"/>
  <c r="E13" i="13"/>
  <c r="O13" i="13"/>
  <c r="Q13" i="13"/>
  <c r="U13" i="13"/>
  <c r="W13" i="13"/>
  <c r="K12" i="13"/>
  <c r="J12" i="13"/>
  <c r="I12" i="13"/>
  <c r="H12" i="13"/>
  <c r="G12" i="13"/>
  <c r="N12" i="13"/>
  <c r="E12" i="13"/>
  <c r="O12" i="13"/>
  <c r="Q12" i="13"/>
  <c r="U12" i="13"/>
  <c r="W12" i="13"/>
  <c r="K11" i="13"/>
  <c r="J11" i="13"/>
  <c r="I11" i="13"/>
  <c r="H11" i="13"/>
  <c r="G11" i="13"/>
  <c r="N11" i="13"/>
  <c r="E11" i="13"/>
  <c r="O11" i="13"/>
  <c r="Q11" i="13"/>
  <c r="U11" i="13"/>
  <c r="W11" i="13"/>
  <c r="K10" i="13"/>
  <c r="G10" i="13"/>
  <c r="H10" i="13"/>
  <c r="I10" i="13"/>
  <c r="J10" i="13"/>
  <c r="N10" i="13"/>
  <c r="E10" i="13"/>
  <c r="O10" i="13"/>
  <c r="Q10" i="13"/>
  <c r="K9" i="13"/>
  <c r="J9" i="13"/>
  <c r="I9" i="13"/>
  <c r="H9" i="13"/>
  <c r="G9" i="13"/>
  <c r="N9" i="13"/>
  <c r="E9" i="13"/>
  <c r="K8" i="13"/>
  <c r="J8" i="13"/>
  <c r="I8" i="13"/>
  <c r="G8" i="13"/>
  <c r="H8" i="13"/>
  <c r="N8" i="13"/>
  <c r="E8" i="13"/>
  <c r="O8" i="13"/>
  <c r="Q8" i="13"/>
  <c r="U8" i="13"/>
  <c r="W8" i="13"/>
  <c r="G7" i="13"/>
  <c r="H7" i="13"/>
  <c r="I7" i="13"/>
  <c r="J7" i="13"/>
  <c r="K7" i="13"/>
  <c r="N7" i="13"/>
  <c r="E7" i="13"/>
  <c r="O7" i="13"/>
  <c r="Q7" i="13"/>
  <c r="U7" i="13"/>
  <c r="W7" i="13"/>
  <c r="K6" i="13"/>
  <c r="J6" i="13"/>
  <c r="I6" i="13"/>
  <c r="H6" i="13"/>
  <c r="G6" i="13"/>
  <c r="N6" i="13"/>
  <c r="E6" i="13"/>
  <c r="O6" i="13"/>
  <c r="Q6" i="13"/>
  <c r="U6" i="13"/>
  <c r="W6" i="13"/>
  <c r="K5" i="13"/>
  <c r="J5" i="13"/>
  <c r="G5" i="13"/>
  <c r="H5" i="13"/>
  <c r="I5" i="13"/>
  <c r="N5" i="13"/>
  <c r="E5" i="13"/>
  <c r="O5" i="13"/>
  <c r="Q5" i="13"/>
  <c r="U5" i="13"/>
  <c r="W5" i="13"/>
  <c r="K4" i="13"/>
  <c r="J4" i="13"/>
  <c r="I4" i="13"/>
  <c r="H4" i="13"/>
  <c r="G4" i="13"/>
  <c r="N4" i="13"/>
  <c r="E4" i="13"/>
  <c r="O4" i="13"/>
  <c r="Q4" i="13"/>
  <c r="U4" i="13"/>
  <c r="W4" i="13"/>
  <c r="K3" i="13"/>
  <c r="J3" i="13"/>
  <c r="I3" i="13"/>
  <c r="H3" i="13"/>
  <c r="G3" i="13"/>
  <c r="N3" i="13"/>
  <c r="E3" i="13"/>
  <c r="K2" i="13"/>
  <c r="G2" i="13"/>
  <c r="H2" i="13"/>
  <c r="I2" i="13"/>
  <c r="J2" i="13"/>
  <c r="N2" i="13"/>
  <c r="E2" i="13"/>
  <c r="O2" i="13"/>
  <c r="Q2" i="13"/>
  <c r="U22" i="13"/>
  <c r="W22" i="13"/>
  <c r="U10" i="13"/>
  <c r="W10" i="13"/>
  <c r="U2" i="13"/>
  <c r="W2" i="13"/>
  <c r="O21" i="13"/>
  <c r="Q21" i="13"/>
  <c r="U21" i="13"/>
  <c r="W21" i="13"/>
  <c r="O9" i="13"/>
  <c r="Q9" i="13"/>
  <c r="U9" i="13"/>
  <c r="W9" i="13"/>
  <c r="G16" i="13"/>
  <c r="H16" i="13"/>
  <c r="N16" i="13"/>
  <c r="O16" i="13"/>
  <c r="Q16" i="13"/>
  <c r="U16" i="13"/>
  <c r="W16" i="13"/>
  <c r="O3" i="13"/>
  <c r="Q3" i="13"/>
  <c r="U3" i="13"/>
  <c r="W3" i="13"/>
  <c r="G15" i="13"/>
  <c r="G17" i="13"/>
  <c r="H15" i="13"/>
  <c r="N15" i="13"/>
  <c r="O15" i="13"/>
  <c r="Q15" i="13"/>
  <c r="U15" i="13"/>
  <c r="W15" i="13"/>
  <c r="H17" i="13"/>
  <c r="C20" i="12"/>
  <c r="D20" i="12"/>
  <c r="C19" i="12"/>
  <c r="C18" i="12"/>
  <c r="D18" i="12"/>
  <c r="N17" i="13"/>
  <c r="O17" i="13"/>
  <c r="Q17" i="13"/>
  <c r="U17" i="13"/>
  <c r="W17" i="13"/>
  <c r="F18" i="12"/>
  <c r="I2" i="12"/>
  <c r="H2" i="12"/>
  <c r="H13" i="12"/>
  <c r="I13" i="12"/>
  <c r="D19" i="12"/>
  <c r="I10" i="12"/>
  <c r="H10" i="12"/>
  <c r="I16" i="12"/>
  <c r="I15" i="12"/>
  <c r="H15" i="12"/>
  <c r="H17" i="12"/>
  <c r="I17" i="12"/>
  <c r="I3" i="12"/>
  <c r="H3" i="12"/>
  <c r="H14" i="12"/>
  <c r="I14" i="12"/>
  <c r="F19" i="12"/>
  <c r="I19" i="12"/>
  <c r="H12" i="12"/>
  <c r="I12" i="12"/>
  <c r="H8" i="12"/>
  <c r="I8" i="12"/>
  <c r="H6" i="12"/>
  <c r="I6" i="12"/>
  <c r="H5" i="12"/>
  <c r="H20" i="12"/>
  <c r="I5" i="12"/>
  <c r="I7" i="12"/>
  <c r="H7" i="12"/>
  <c r="H19" i="12"/>
  <c r="H18" i="12"/>
  <c r="I18" i="12"/>
  <c r="I20" i="12"/>
</calcChain>
</file>

<file path=xl/comments1.xml><?xml version="1.0" encoding="utf-8"?>
<comments xmlns="http://schemas.openxmlformats.org/spreadsheetml/2006/main">
  <authors>
    <author>tc={90829372-2AF8-46A1-9A5A-463F11B1EB42}</author>
    <author>tc={EE5F45B5-FEC5-4D4E-9997-2E1226536181}</author>
  </authors>
  <commentList>
    <comment ref="B6" authorId="0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return to 0.8 when pump break slot is removed
</t>
        </r>
      </text>
    </comment>
    <comment ref="B7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return to 0.8 when pump break slot is removed
</t>
        </r>
      </text>
    </comment>
  </commentList>
</comments>
</file>

<file path=xl/comments2.xml><?xml version="1.0" encoding="utf-8"?>
<comments xmlns="http://schemas.openxmlformats.org/spreadsheetml/2006/main">
  <authors>
    <author>Cynthia Paduano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Cynthia Paduano:</t>
        </r>
        <r>
          <rPr>
            <sz val="9"/>
            <color indexed="81"/>
            <rFont val="Tahoma"/>
            <family val="2"/>
          </rPr>
          <t xml:space="preserve">
calculate working days per year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Cynthia Paduano:</t>
        </r>
        <r>
          <rPr>
            <sz val="9"/>
            <color indexed="81"/>
            <rFont val="Tahoma"/>
            <family val="2"/>
          </rPr>
          <t xml:space="preserve">
Total Visits 7/10/17-3/19/18. Checked out status. eBO report 13.07 Visit Counts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Cynthia Paduano:</t>
        </r>
        <r>
          <rPr>
            <sz val="9"/>
            <color indexed="81"/>
            <rFont val="Tahoma"/>
            <family val="2"/>
          </rPr>
          <t xml:space="preserve">
calculate working days per year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Cynthia Paduano:</t>
        </r>
        <r>
          <rPr>
            <sz val="9"/>
            <color indexed="81"/>
            <rFont val="Tahoma"/>
            <family val="2"/>
          </rPr>
          <t xml:space="preserve">
Total Visits 7/10/17-3/19/18. Checked out status. eBO report 13.07 Visit Counts
</t>
        </r>
      </text>
    </comment>
  </commentList>
</comments>
</file>

<file path=xl/sharedStrings.xml><?xml version="1.0" encoding="utf-8"?>
<sst xmlns="http://schemas.openxmlformats.org/spreadsheetml/2006/main" count="129" uniqueCount="67">
  <si>
    <t>Provider</t>
  </si>
  <si>
    <t>Provider Clinical FTE</t>
  </si>
  <si>
    <t>Correction Factor</t>
  </si>
  <si>
    <t>Corrected FTE</t>
  </si>
  <si>
    <t>Panel Size</t>
  </si>
  <si>
    <t>Corrected Panel Size</t>
  </si>
  <si>
    <t>Current Panel Size</t>
  </si>
  <si>
    <t>% Capacity</t>
  </si>
  <si>
    <t>panel availability</t>
  </si>
  <si>
    <t>November NPs</t>
  </si>
  <si>
    <t>NP visits per week goal</t>
  </si>
  <si>
    <t>Adjust for hosp f/u NP</t>
  </si>
  <si>
    <t>Logic</t>
  </si>
  <si>
    <t>Borruso</t>
  </si>
  <si>
    <t>1/day</t>
  </si>
  <si>
    <t>under 100% </t>
  </si>
  <si>
    <t>2/day</t>
  </si>
  <si>
    <t>Jornlin</t>
  </si>
  <si>
    <t>2/week</t>
  </si>
  <si>
    <t>100-105</t>
  </si>
  <si>
    <t>Ralik</t>
  </si>
  <si>
    <t>CLOSED</t>
  </si>
  <si>
    <t>106-110</t>
  </si>
  <si>
    <t>Armisen</t>
  </si>
  <si>
    <t>over 110</t>
  </si>
  <si>
    <t>closed</t>
  </si>
  <si>
    <t>Garchow</t>
  </si>
  <si>
    <t>Mulligan</t>
  </si>
  <si>
    <t>Dzurella</t>
  </si>
  <si>
    <t>Stevens</t>
  </si>
  <si>
    <t>Mendez</t>
  </si>
  <si>
    <t>Orozco</t>
  </si>
  <si>
    <t>Hasse</t>
  </si>
  <si>
    <t>Quion</t>
  </si>
  <si>
    <t>Bland</t>
  </si>
  <si>
    <t>Gookin</t>
  </si>
  <si>
    <t>Mcintyre</t>
  </si>
  <si>
    <t>Tenwolde</t>
  </si>
  <si>
    <t>Totals</t>
  </si>
  <si>
    <t>GV</t>
  </si>
  <si>
    <t>AUB</t>
  </si>
  <si>
    <t>last FTE or NP update:</t>
  </si>
  <si>
    <t>last panel size update:</t>
  </si>
  <si>
    <t>Working Days/Year</t>
  </si>
  <si>
    <t>Avg Hrs Worked/Day</t>
  </si>
  <si>
    <t>FTE Adjusted Clinic Days</t>
  </si>
  <si>
    <t>Holiday Hrs</t>
  </si>
  <si>
    <t>CME Hrs</t>
  </si>
  <si>
    <t>PTO Hrs</t>
  </si>
  <si>
    <t>Misc. Time</t>
  </si>
  <si>
    <t>Meetings</t>
  </si>
  <si>
    <t>all staff</t>
  </si>
  <si>
    <t>Supervision</t>
  </si>
  <si>
    <t>special projects</t>
  </si>
  <si>
    <t>Time-Off (Days)</t>
  </si>
  <si>
    <t>Days in Clinic</t>
  </si>
  <si>
    <t>Appt Slots Per Day</t>
  </si>
  <si>
    <t>Supply</t>
  </si>
  <si>
    <t>Unduplicated Pt Count Last CY</t>
  </si>
  <si>
    <t>Total Visits Last CY</t>
  </si>
  <si>
    <t>Avg Pt Visits Per Year (Demand)</t>
  </si>
  <si>
    <t>Right Panel Size</t>
  </si>
  <si>
    <t>Panel Manager</t>
  </si>
  <si>
    <t>Date of Next Review</t>
  </si>
  <si>
    <t>Panel Open/Closed</t>
  </si>
  <si>
    <t>example 1</t>
  </si>
  <si>
    <t>example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</si>
</sst>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DEBF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4" xfId="0" applyFont="1" applyFill="1" applyBorder="1"/>
    <xf numFmtId="2" fontId="0" fillId="4" borderId="5" xfId="0" applyNumberFormat="1" applyFill="1" applyBorder="1"/>
    <xf numFmtId="0" fontId="0" fillId="4" borderId="5" xfId="0" applyFill="1" applyBorder="1"/>
    <xf numFmtId="1" fontId="0" fillId="4" borderId="5" xfId="0" applyNumberFormat="1" applyFill="1" applyBorder="1"/>
    <xf numFmtId="3" fontId="0" fillId="4" borderId="5" xfId="0" applyNumberFormat="1" applyFill="1" applyBorder="1"/>
    <xf numFmtId="164" fontId="0" fillId="4" borderId="5" xfId="0" applyNumberFormat="1" applyFill="1" applyBorder="1"/>
    <xf numFmtId="14" fontId="0" fillId="4" borderId="5" xfId="0" applyNumberFormat="1" applyFill="1" applyBorder="1"/>
    <xf numFmtId="0" fontId="0" fillId="4" borderId="6" xfId="0" applyFill="1" applyBorder="1"/>
    <xf numFmtId="165" fontId="0" fillId="4" borderId="5" xfId="0" applyNumberFormat="1" applyFill="1" applyBorder="1"/>
    <xf numFmtId="164" fontId="0" fillId="4" borderId="5" xfId="1" applyNumberFormat="1" applyFont="1" applyFill="1" applyBorder="1"/>
    <xf numFmtId="14" fontId="0" fillId="0" borderId="0" xfId="0" applyNumberFormat="1"/>
    <xf numFmtId="0" fontId="1" fillId="2" borderId="15" xfId="0" applyFont="1" applyFill="1" applyBorder="1" applyAlignment="1">
      <alignment vertical="top" wrapText="1"/>
    </xf>
    <xf numFmtId="1" fontId="0" fillId="4" borderId="16" xfId="0" applyNumberFormat="1" applyFill="1" applyBorder="1"/>
    <xf numFmtId="0" fontId="1" fillId="2" borderId="10" xfId="0" applyFont="1" applyFill="1" applyBorder="1" applyAlignment="1">
      <alignment vertical="top" wrapText="1"/>
    </xf>
    <xf numFmtId="1" fontId="0" fillId="4" borderId="17" xfId="0" applyNumberFormat="1" applyFill="1" applyBorder="1"/>
    <xf numFmtId="1" fontId="0" fillId="6" borderId="17" xfId="0" applyNumberFormat="1" applyFill="1" applyBorder="1"/>
    <xf numFmtId="1" fontId="0" fillId="6" borderId="18" xfId="0" applyNumberFormat="1" applyFill="1" applyBorder="1"/>
    <xf numFmtId="0" fontId="0" fillId="6" borderId="18" xfId="0" applyFill="1" applyBorder="1"/>
    <xf numFmtId="0" fontId="0" fillId="0" borderId="0" xfId="0" applyAlignment="1">
      <alignment wrapTex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andon Bettencourt" id="{9199C9EA-DAA1-4C3C-B3D5-D5413BDEAB16}" userId="S::bbettencourt@chapa-de.org::a3c8f724-e978-4e97-846a-2e2c6b6d43c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19-11-26T00:26:13.33" personId="{9199C9EA-DAA1-4C3C-B3D5-D5413BDEAB16}" id="{90829372-2AF8-46A1-9A5A-463F11B1EB42}">
    <text xml:space="preserve">return to 0.8 when pump break slot is removed
</text>
  </threadedComment>
  <threadedComment ref="B7" dT="2019-11-26T00:26:33.63" personId="{9199C9EA-DAA1-4C3C-B3D5-D5413BDEAB16}" id="{EE5F45B5-FEC5-4D4E-9997-2E1226536181}">
    <text xml:space="preserve">return to 0.8 when pump break slot is removed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workbookViewId="0">
      <pane ySplit="1" topLeftCell="A2" activePane="bottomLeft" state="frozen"/>
      <selection pane="bottomLeft" activeCell="F27" sqref="F27"/>
    </sheetView>
  </sheetViews>
  <sheetFormatPr defaultRowHeight="14.4" x14ac:dyDescent="0.3"/>
  <cols>
    <col min="1" max="1" width="11.88671875" customWidth="1"/>
    <col min="2" max="2" width="12.5546875" customWidth="1"/>
    <col min="3" max="3" width="12" customWidth="1"/>
    <col min="4" max="4" width="10.33203125" customWidth="1"/>
    <col min="5" max="5" width="8.5546875" bestFit="1" customWidth="1"/>
    <col min="6" max="6" width="11.5546875" customWidth="1"/>
    <col min="7" max="7" width="12.109375" customWidth="1"/>
    <col min="8" max="8" width="13.5546875" customWidth="1"/>
    <col min="9" max="10" width="11" customWidth="1"/>
    <col min="11" max="11" width="9.44140625" customWidth="1"/>
    <col min="12" max="12" width="11.109375" customWidth="1"/>
    <col min="13" max="13" width="9.88671875" customWidth="1"/>
    <col min="14" max="14" width="9" bestFit="1" customWidth="1"/>
    <col min="15" max="15" width="11.88671875" bestFit="1" customWidth="1"/>
    <col min="16" max="16" width="8.6640625" bestFit="1" customWidth="1"/>
    <col min="17" max="17" width="7.6640625" bestFit="1" customWidth="1"/>
    <col min="18" max="18" width="9" bestFit="1" customWidth="1"/>
    <col min="19" max="19" width="7.109375" bestFit="1" customWidth="1"/>
    <col min="21" max="22" width="7.6640625" bestFit="1" customWidth="1"/>
    <col min="23" max="23" width="8.44140625" bestFit="1" customWidth="1"/>
    <col min="24" max="24" width="8.88671875" bestFit="1" customWidth="1"/>
    <col min="25" max="25" width="12.109375" bestFit="1" customWidth="1"/>
    <col min="26" max="26" width="8.44140625" bestFit="1" customWidth="1"/>
  </cols>
  <sheetData>
    <row r="1" spans="1:16" ht="4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" t="s">
        <v>8</v>
      </c>
      <c r="J1" s="1" t="s">
        <v>0</v>
      </c>
      <c r="K1" s="16" t="s">
        <v>9</v>
      </c>
      <c r="L1" s="2" t="s">
        <v>10</v>
      </c>
      <c r="M1" s="2" t="s">
        <v>11</v>
      </c>
      <c r="O1" s="2" t="s">
        <v>12</v>
      </c>
    </row>
    <row r="2" spans="1:16" x14ac:dyDescent="0.3">
      <c r="A2" s="5" t="s">
        <v>13</v>
      </c>
      <c r="B2" s="6">
        <v>0.8</v>
      </c>
      <c r="C2" s="6">
        <f t="shared" ref="C2:C7" si="0">(0.2*B2)</f>
        <v>0.16000000000000003</v>
      </c>
      <c r="D2" s="6">
        <f t="shared" ref="D2:D7" si="1">(B2-C2)</f>
        <v>0.64</v>
      </c>
      <c r="E2" s="8">
        <v>1500</v>
      </c>
      <c r="F2" s="8">
        <f t="shared" ref="F2:F7" si="2">(D2*E2)</f>
        <v>960</v>
      </c>
      <c r="G2" s="8">
        <v>1001</v>
      </c>
      <c r="H2" s="14">
        <f t="shared" ref="H2:H7" si="3">(G2/F2)</f>
        <v>1.0427083333333333</v>
      </c>
      <c r="I2" s="19">
        <f>F2-G2</f>
        <v>-41</v>
      </c>
      <c r="J2" s="5" t="str">
        <f>A2</f>
        <v>Borruso</v>
      </c>
      <c r="K2" s="22" t="s">
        <v>14</v>
      </c>
      <c r="L2" s="8">
        <v>4</v>
      </c>
      <c r="M2" s="8">
        <v>3</v>
      </c>
      <c r="O2" s="8" t="s">
        <v>15</v>
      </c>
      <c r="P2" s="8" t="s">
        <v>16</v>
      </c>
    </row>
    <row r="3" spans="1:16" x14ac:dyDescent="0.3">
      <c r="A3" s="5" t="s">
        <v>17</v>
      </c>
      <c r="B3" s="6">
        <v>1</v>
      </c>
      <c r="C3" s="6">
        <f t="shared" si="0"/>
        <v>0.2</v>
      </c>
      <c r="D3" s="6">
        <f t="shared" si="1"/>
        <v>0.8</v>
      </c>
      <c r="E3" s="8">
        <v>1500</v>
      </c>
      <c r="F3" s="8">
        <f t="shared" si="2"/>
        <v>1200</v>
      </c>
      <c r="G3" s="8">
        <v>1245</v>
      </c>
      <c r="H3" s="14">
        <f t="shared" si="3"/>
        <v>1.0375000000000001</v>
      </c>
      <c r="I3" s="19">
        <f>F3-G3</f>
        <v>-45</v>
      </c>
      <c r="J3" s="5" t="str">
        <f t="shared" ref="J3:J20" si="4">A3</f>
        <v>Jornlin</v>
      </c>
      <c r="K3" s="8" t="s">
        <v>18</v>
      </c>
      <c r="L3" s="8">
        <v>2</v>
      </c>
      <c r="M3" s="8">
        <v>1</v>
      </c>
      <c r="O3" s="8" t="s">
        <v>19</v>
      </c>
      <c r="P3" s="8" t="s">
        <v>14</v>
      </c>
    </row>
    <row r="4" spans="1:16" x14ac:dyDescent="0.3">
      <c r="A4" s="5" t="s">
        <v>20</v>
      </c>
      <c r="B4" s="6">
        <v>0.4</v>
      </c>
      <c r="C4" s="6">
        <f t="shared" si="0"/>
        <v>8.0000000000000016E-2</v>
      </c>
      <c r="D4" s="6">
        <f t="shared" si="1"/>
        <v>0.32</v>
      </c>
      <c r="E4" s="8">
        <v>1500</v>
      </c>
      <c r="F4" s="8">
        <f t="shared" si="2"/>
        <v>480</v>
      </c>
      <c r="G4" s="8">
        <v>27</v>
      </c>
      <c r="H4" s="14">
        <f t="shared" si="3"/>
        <v>5.6250000000000001E-2</v>
      </c>
      <c r="I4" s="19">
        <f>F4-G4</f>
        <v>453</v>
      </c>
      <c r="J4" s="5" t="str">
        <f t="shared" si="4"/>
        <v>Ralik</v>
      </c>
      <c r="K4" s="22" t="s">
        <v>21</v>
      </c>
      <c r="L4" s="8">
        <v>0</v>
      </c>
      <c r="M4" s="8">
        <v>0</v>
      </c>
      <c r="O4" s="8" t="s">
        <v>22</v>
      </c>
      <c r="P4" s="8" t="s">
        <v>18</v>
      </c>
    </row>
    <row r="5" spans="1:16" x14ac:dyDescent="0.3">
      <c r="A5" s="5" t="s">
        <v>23</v>
      </c>
      <c r="B5" s="6">
        <v>0.7</v>
      </c>
      <c r="C5" s="6">
        <f t="shared" si="0"/>
        <v>0.13999999999999999</v>
      </c>
      <c r="D5" s="6">
        <f t="shared" si="1"/>
        <v>0.55999999999999994</v>
      </c>
      <c r="E5" s="8">
        <v>1500</v>
      </c>
      <c r="F5" s="8">
        <f t="shared" si="2"/>
        <v>839.99999999999989</v>
      </c>
      <c r="G5" s="8">
        <v>837</v>
      </c>
      <c r="H5" s="14">
        <f t="shared" si="3"/>
        <v>0.99642857142857155</v>
      </c>
      <c r="I5" s="19">
        <f t="shared" ref="I5:I20" si="5">F5-G5</f>
        <v>2.9999999999998863</v>
      </c>
      <c r="J5" s="5" t="str">
        <f t="shared" si="4"/>
        <v>Armisen</v>
      </c>
      <c r="K5" s="22" t="s">
        <v>21</v>
      </c>
      <c r="L5" s="8">
        <v>0</v>
      </c>
      <c r="M5" s="8">
        <v>0</v>
      </c>
      <c r="O5" s="8" t="s">
        <v>24</v>
      </c>
      <c r="P5" s="8" t="s">
        <v>25</v>
      </c>
    </row>
    <row r="6" spans="1:16" x14ac:dyDescent="0.3">
      <c r="A6" s="5" t="s">
        <v>26</v>
      </c>
      <c r="B6" s="6">
        <v>0.75</v>
      </c>
      <c r="C6" s="6">
        <f t="shared" si="0"/>
        <v>0.15000000000000002</v>
      </c>
      <c r="D6" s="6">
        <f t="shared" si="1"/>
        <v>0.6</v>
      </c>
      <c r="E6" s="8">
        <v>1500</v>
      </c>
      <c r="F6" s="8">
        <f t="shared" si="2"/>
        <v>900</v>
      </c>
      <c r="G6" s="8">
        <v>863</v>
      </c>
      <c r="H6" s="14">
        <f t="shared" si="3"/>
        <v>0.9588888888888889</v>
      </c>
      <c r="I6" s="20">
        <f>F6-G6</f>
        <v>37</v>
      </c>
      <c r="J6" s="5" t="str">
        <f t="shared" si="4"/>
        <v>Garchow</v>
      </c>
      <c r="K6" s="22" t="s">
        <v>21</v>
      </c>
      <c r="L6" s="8">
        <v>0</v>
      </c>
      <c r="M6" s="8">
        <v>0</v>
      </c>
    </row>
    <row r="7" spans="1:16" x14ac:dyDescent="0.3">
      <c r="A7" s="5" t="s">
        <v>27</v>
      </c>
      <c r="B7" s="6">
        <v>0.75</v>
      </c>
      <c r="C7" s="6">
        <f t="shared" si="0"/>
        <v>0.15000000000000002</v>
      </c>
      <c r="D7" s="6">
        <f t="shared" si="1"/>
        <v>0.6</v>
      </c>
      <c r="E7" s="8">
        <v>1500</v>
      </c>
      <c r="F7" s="8">
        <f t="shared" si="2"/>
        <v>900</v>
      </c>
      <c r="G7" s="8">
        <v>918</v>
      </c>
      <c r="H7" s="14">
        <f t="shared" si="3"/>
        <v>1.02</v>
      </c>
      <c r="I7" s="19">
        <f>F7-G7</f>
        <v>-18</v>
      </c>
      <c r="J7" s="5" t="str">
        <f t="shared" si="4"/>
        <v>Mulligan</v>
      </c>
      <c r="K7" s="22" t="s">
        <v>18</v>
      </c>
      <c r="L7" s="8">
        <v>2</v>
      </c>
      <c r="M7" s="8">
        <v>1</v>
      </c>
    </row>
    <row r="8" spans="1:16" x14ac:dyDescent="0.3">
      <c r="A8" s="5" t="s">
        <v>28</v>
      </c>
      <c r="B8" s="6">
        <v>1</v>
      </c>
      <c r="C8" s="6">
        <f t="shared" ref="C8:C20" si="6">(0.2*B8)</f>
        <v>0.2</v>
      </c>
      <c r="D8" s="6">
        <f t="shared" ref="D8:D20" si="7">(B8-C8)</f>
        <v>0.8</v>
      </c>
      <c r="E8" s="8">
        <v>1500</v>
      </c>
      <c r="F8" s="8">
        <f t="shared" ref="F8:F15" si="8">(D8*E8)</f>
        <v>1200</v>
      </c>
      <c r="G8" s="8">
        <v>1241</v>
      </c>
      <c r="H8" s="14">
        <f t="shared" ref="H8:H20" si="9">(G8/F8)</f>
        <v>1.0341666666666667</v>
      </c>
      <c r="I8" s="19">
        <f t="shared" si="5"/>
        <v>-41</v>
      </c>
      <c r="J8" s="5" t="str">
        <f t="shared" si="4"/>
        <v>Dzurella</v>
      </c>
      <c r="K8" s="22" t="s">
        <v>18</v>
      </c>
      <c r="L8" s="8">
        <v>2</v>
      </c>
      <c r="M8" s="8">
        <v>1</v>
      </c>
    </row>
    <row r="9" spans="1:16" x14ac:dyDescent="0.3">
      <c r="A9" s="5" t="s">
        <v>29</v>
      </c>
      <c r="B9" s="6">
        <v>0.4</v>
      </c>
      <c r="C9" s="6">
        <f t="shared" si="6"/>
        <v>8.0000000000000016E-2</v>
      </c>
      <c r="D9" s="6">
        <f t="shared" si="7"/>
        <v>0.32</v>
      </c>
      <c r="E9" s="8">
        <v>1500</v>
      </c>
      <c r="F9" s="8">
        <f t="shared" si="8"/>
        <v>480</v>
      </c>
      <c r="G9" s="8">
        <v>4</v>
      </c>
      <c r="H9" s="14">
        <f t="shared" si="9"/>
        <v>8.3333333333333332E-3</v>
      </c>
      <c r="I9" s="19">
        <f t="shared" si="5"/>
        <v>476</v>
      </c>
      <c r="J9" s="5" t="str">
        <f t="shared" si="4"/>
        <v>Stevens</v>
      </c>
      <c r="K9" s="22" t="s">
        <v>21</v>
      </c>
      <c r="L9" s="8">
        <v>0</v>
      </c>
      <c r="M9" s="8">
        <v>0</v>
      </c>
    </row>
    <row r="10" spans="1:16" x14ac:dyDescent="0.3">
      <c r="A10" s="5" t="s">
        <v>30</v>
      </c>
      <c r="B10" s="6">
        <v>1</v>
      </c>
      <c r="C10" s="6">
        <f>(0.2*B10)</f>
        <v>0.2</v>
      </c>
      <c r="D10" s="6">
        <f>(B10-C10)</f>
        <v>0.8</v>
      </c>
      <c r="E10" s="8">
        <v>1500</v>
      </c>
      <c r="F10" s="8">
        <f>(D10*E10)</f>
        <v>1200</v>
      </c>
      <c r="G10" s="8">
        <v>1017</v>
      </c>
      <c r="H10" s="14">
        <f>(G10/F10)</f>
        <v>0.84750000000000003</v>
      </c>
      <c r="I10" s="19">
        <f>F10-G10</f>
        <v>183</v>
      </c>
      <c r="J10" s="5" t="str">
        <f t="shared" si="4"/>
        <v>Mendez</v>
      </c>
      <c r="K10" s="21" t="s">
        <v>16</v>
      </c>
      <c r="L10" s="8">
        <v>10</v>
      </c>
      <c r="M10" s="8">
        <v>7</v>
      </c>
    </row>
    <row r="11" spans="1:16" x14ac:dyDescent="0.3">
      <c r="A11" s="5" t="s">
        <v>31</v>
      </c>
      <c r="B11" s="6">
        <v>0.8</v>
      </c>
      <c r="C11" s="6">
        <f>(0.2*B11)</f>
        <v>0.16000000000000003</v>
      </c>
      <c r="D11" s="6">
        <f>(B11-C11)</f>
        <v>0.64</v>
      </c>
      <c r="E11" s="8">
        <v>1500</v>
      </c>
      <c r="F11" s="8">
        <f>(D11*E11)</f>
        <v>960</v>
      </c>
      <c r="G11" s="8">
        <v>931</v>
      </c>
      <c r="H11" s="14">
        <f>(G11/F11)</f>
        <v>0.96979166666666672</v>
      </c>
      <c r="I11" s="19">
        <f>F11-G11</f>
        <v>29</v>
      </c>
      <c r="J11" s="5" t="str">
        <f t="shared" si="4"/>
        <v>Orozco</v>
      </c>
      <c r="K11" s="21" t="s">
        <v>16</v>
      </c>
      <c r="L11" s="8">
        <v>8</v>
      </c>
      <c r="M11" s="8">
        <v>6</v>
      </c>
    </row>
    <row r="12" spans="1:16" x14ac:dyDescent="0.3">
      <c r="A12" s="5" t="s">
        <v>32</v>
      </c>
      <c r="B12" s="6">
        <v>0.7</v>
      </c>
      <c r="C12" s="6">
        <f t="shared" si="6"/>
        <v>0.13999999999999999</v>
      </c>
      <c r="D12" s="6">
        <f t="shared" si="7"/>
        <v>0.55999999999999994</v>
      </c>
      <c r="E12" s="8">
        <v>1500</v>
      </c>
      <c r="F12" s="8">
        <f t="shared" si="8"/>
        <v>839.99999999999989</v>
      </c>
      <c r="G12" s="8">
        <v>732</v>
      </c>
      <c r="H12" s="14">
        <f t="shared" si="9"/>
        <v>0.87142857142857155</v>
      </c>
      <c r="I12" s="19">
        <f t="shared" si="5"/>
        <v>107.99999999999989</v>
      </c>
      <c r="J12" s="5" t="str">
        <f t="shared" si="4"/>
        <v>Hasse</v>
      </c>
      <c r="K12" s="22" t="s">
        <v>16</v>
      </c>
      <c r="L12" s="8">
        <v>8</v>
      </c>
      <c r="M12" s="8">
        <v>6</v>
      </c>
    </row>
    <row r="13" spans="1:16" x14ac:dyDescent="0.3">
      <c r="A13" s="5" t="s">
        <v>33</v>
      </c>
      <c r="B13" s="6">
        <v>0.9</v>
      </c>
      <c r="C13" s="6">
        <f t="shared" si="6"/>
        <v>0.18000000000000002</v>
      </c>
      <c r="D13" s="6">
        <f t="shared" si="7"/>
        <v>0.72</v>
      </c>
      <c r="E13" s="8">
        <v>1500</v>
      </c>
      <c r="F13" s="8">
        <f t="shared" si="8"/>
        <v>1080</v>
      </c>
      <c r="G13" s="8">
        <v>961</v>
      </c>
      <c r="H13" s="14">
        <f t="shared" si="9"/>
        <v>0.88981481481481484</v>
      </c>
      <c r="I13" s="19">
        <f t="shared" si="5"/>
        <v>119</v>
      </c>
      <c r="J13" s="5" t="str">
        <f t="shared" si="4"/>
        <v>Quion</v>
      </c>
      <c r="K13" s="22" t="s">
        <v>14</v>
      </c>
      <c r="L13" s="8">
        <v>5</v>
      </c>
      <c r="M13" s="8">
        <v>3</v>
      </c>
    </row>
    <row r="14" spans="1:16" x14ac:dyDescent="0.3">
      <c r="A14" s="5" t="s">
        <v>34</v>
      </c>
      <c r="B14" s="6">
        <v>1</v>
      </c>
      <c r="C14" s="6">
        <f>(0.2*B14)</f>
        <v>0.2</v>
      </c>
      <c r="D14" s="6">
        <f>(B14-C14)</f>
        <v>0.8</v>
      </c>
      <c r="E14" s="8">
        <v>1500</v>
      </c>
      <c r="F14" s="8">
        <f>(D14*E14)</f>
        <v>1200</v>
      </c>
      <c r="G14" s="8">
        <v>1113</v>
      </c>
      <c r="H14" s="14">
        <f>(G14/F14)</f>
        <v>0.92749999999999999</v>
      </c>
      <c r="I14" s="19">
        <f>F14-G14</f>
        <v>87</v>
      </c>
      <c r="J14" s="5" t="str">
        <f t="shared" si="4"/>
        <v>Bland</v>
      </c>
      <c r="K14" s="22" t="s">
        <v>16</v>
      </c>
      <c r="L14" s="8">
        <v>10</v>
      </c>
      <c r="M14" s="8">
        <v>7</v>
      </c>
    </row>
    <row r="15" spans="1:16" x14ac:dyDescent="0.3">
      <c r="A15" s="5" t="s">
        <v>35</v>
      </c>
      <c r="B15" s="6">
        <v>1</v>
      </c>
      <c r="C15" s="6">
        <f t="shared" si="6"/>
        <v>0.2</v>
      </c>
      <c r="D15" s="6">
        <f t="shared" si="7"/>
        <v>0.8</v>
      </c>
      <c r="E15" s="8">
        <v>1500</v>
      </c>
      <c r="F15" s="8">
        <f t="shared" si="8"/>
        <v>1200</v>
      </c>
      <c r="G15" s="8">
        <v>1149</v>
      </c>
      <c r="H15" s="14">
        <f t="shared" si="9"/>
        <v>0.95750000000000002</v>
      </c>
      <c r="I15" s="19">
        <f t="shared" si="5"/>
        <v>51</v>
      </c>
      <c r="J15" s="5" t="str">
        <f t="shared" si="4"/>
        <v>Gookin</v>
      </c>
      <c r="K15" s="22" t="s">
        <v>16</v>
      </c>
      <c r="L15" s="8">
        <v>10</v>
      </c>
      <c r="M15" s="8">
        <v>7</v>
      </c>
    </row>
    <row r="16" spans="1:16" x14ac:dyDescent="0.3">
      <c r="A16" s="5" t="s">
        <v>36</v>
      </c>
      <c r="B16" s="6">
        <v>0</v>
      </c>
      <c r="C16" s="6">
        <f>(0.2*B16)</f>
        <v>0</v>
      </c>
      <c r="D16" s="6">
        <f>(B16-C16)</f>
        <v>0</v>
      </c>
      <c r="E16" s="8">
        <v>0</v>
      </c>
      <c r="F16" s="8">
        <f>(D16*E16)</f>
        <v>0</v>
      </c>
      <c r="G16" s="8">
        <v>0</v>
      </c>
      <c r="H16" s="14" t="e">
        <f>(G16/F16)</f>
        <v>#DIV/0!</v>
      </c>
      <c r="I16" s="19">
        <f>F16-G16</f>
        <v>0</v>
      </c>
      <c r="J16" s="5" t="str">
        <f t="shared" si="4"/>
        <v>Mcintyre</v>
      </c>
      <c r="K16" s="22" t="s">
        <v>21</v>
      </c>
      <c r="L16" s="8">
        <v>0</v>
      </c>
      <c r="M16" s="8">
        <v>0</v>
      </c>
    </row>
    <row r="17" spans="1:13" x14ac:dyDescent="0.3">
      <c r="A17" s="5" t="s">
        <v>37</v>
      </c>
      <c r="B17" s="6">
        <v>0</v>
      </c>
      <c r="C17" s="6">
        <f>(0.2*B17)</f>
        <v>0</v>
      </c>
      <c r="D17" s="6">
        <f>(B17-C17)</f>
        <v>0</v>
      </c>
      <c r="E17" s="8">
        <v>0</v>
      </c>
      <c r="F17" s="8">
        <f>(D17*E17)</f>
        <v>0</v>
      </c>
      <c r="G17" s="8">
        <v>0</v>
      </c>
      <c r="H17" s="14" t="e">
        <f>(G17/F17)</f>
        <v>#DIV/0!</v>
      </c>
      <c r="I17" s="19">
        <f>F17-G17</f>
        <v>0</v>
      </c>
      <c r="J17" s="5" t="str">
        <f t="shared" si="4"/>
        <v>Tenwolde</v>
      </c>
      <c r="K17" s="22" t="s">
        <v>21</v>
      </c>
      <c r="L17" s="8">
        <v>0</v>
      </c>
      <c r="M17" s="8">
        <v>0</v>
      </c>
    </row>
    <row r="18" spans="1:13" x14ac:dyDescent="0.3">
      <c r="A18" s="5" t="s">
        <v>38</v>
      </c>
      <c r="B18" s="6">
        <f>SUM(B2:B17)</f>
        <v>11.200000000000001</v>
      </c>
      <c r="C18" s="6">
        <f t="shared" si="6"/>
        <v>2.2400000000000002</v>
      </c>
      <c r="D18" s="6">
        <f t="shared" si="7"/>
        <v>8.9600000000000009</v>
      </c>
      <c r="E18" s="8">
        <f>SUM(E2:E17)</f>
        <v>21000</v>
      </c>
      <c r="F18" s="8">
        <f>SUM(F2:F17)</f>
        <v>13440</v>
      </c>
      <c r="G18" s="8">
        <f>SUM(G2:G17)</f>
        <v>12039</v>
      </c>
      <c r="H18" s="14">
        <f t="shared" si="9"/>
        <v>0.89575892857142858</v>
      </c>
      <c r="I18" s="19">
        <f t="shared" si="5"/>
        <v>1401</v>
      </c>
      <c r="J18" s="5" t="str">
        <f t="shared" si="4"/>
        <v>Totals</v>
      </c>
      <c r="K18" s="21"/>
      <c r="L18" s="8">
        <f>SUM(L2:L17)</f>
        <v>61</v>
      </c>
      <c r="M18" s="8">
        <f>SUM(M2:M17)</f>
        <v>42</v>
      </c>
    </row>
    <row r="19" spans="1:13" x14ac:dyDescent="0.3">
      <c r="A19" s="5" t="s">
        <v>39</v>
      </c>
      <c r="B19" s="6">
        <f>SUM(B14,B12,B16,B13,B15)</f>
        <v>3.6</v>
      </c>
      <c r="C19" s="6">
        <f t="shared" si="6"/>
        <v>0.72000000000000008</v>
      </c>
      <c r="D19" s="6">
        <f t="shared" si="7"/>
        <v>2.88</v>
      </c>
      <c r="E19" s="8">
        <f>SUM(E14,E12,E16,E13,E15)</f>
        <v>6000</v>
      </c>
      <c r="F19" s="8">
        <f>SUM(F14,F12,F16,F13,F15)</f>
        <v>4320</v>
      </c>
      <c r="G19" s="8">
        <f>SUM(G14,G12,G16,G13,G15)</f>
        <v>3955</v>
      </c>
      <c r="H19" s="14">
        <f t="shared" si="9"/>
        <v>0.9155092592592593</v>
      </c>
      <c r="I19" s="19">
        <f t="shared" si="5"/>
        <v>365</v>
      </c>
      <c r="J19" s="5" t="str">
        <f t="shared" si="4"/>
        <v>GV</v>
      </c>
      <c r="K19" s="17"/>
      <c r="L19" s="8">
        <f>SUM(L14,L12,L16,L13,L15)</f>
        <v>33</v>
      </c>
      <c r="M19" s="8">
        <f>SUM(M14,M12,M16,M13,M15)</f>
        <v>23</v>
      </c>
    </row>
    <row r="20" spans="1:13" x14ac:dyDescent="0.3">
      <c r="A20" s="5" t="s">
        <v>40</v>
      </c>
      <c r="B20" s="6">
        <f>SUM(B5,B2,B8,B6,B3,B7,B17,B10,B11)</f>
        <v>6.8</v>
      </c>
      <c r="C20" s="6">
        <f t="shared" si="6"/>
        <v>1.36</v>
      </c>
      <c r="D20" s="6">
        <f t="shared" si="7"/>
        <v>5.4399999999999995</v>
      </c>
      <c r="E20" s="8">
        <f>SUM(E5,E2,E8,E6,E3,E7,E17,E10,E11)</f>
        <v>12000</v>
      </c>
      <c r="F20" s="8">
        <f>SUM(F5,F2,F8,F6,F3,F7,F17,F10,F11)</f>
        <v>8160</v>
      </c>
      <c r="G20" s="8">
        <f>SUM(G5,G2,G8,G6,G3,G7,G17,G10,G11)</f>
        <v>8053</v>
      </c>
      <c r="H20" s="14">
        <f t="shared" si="9"/>
        <v>0.98688725490196083</v>
      </c>
      <c r="I20" s="19">
        <f t="shared" si="5"/>
        <v>107</v>
      </c>
      <c r="J20" s="5" t="str">
        <f t="shared" si="4"/>
        <v>AUB</v>
      </c>
      <c r="K20" s="17"/>
      <c r="L20" s="8">
        <f>SUM(L5,L2,L8,L6,L3,L7,L17,L10,L11)</f>
        <v>28</v>
      </c>
      <c r="M20" s="8">
        <f>SUM(M5,M2,M8,M6,M3,M7,M17,M10,M11)</f>
        <v>19</v>
      </c>
    </row>
    <row r="21" spans="1:13" ht="28.8" x14ac:dyDescent="0.3">
      <c r="A21" s="23" t="s">
        <v>41</v>
      </c>
      <c r="B21" s="15">
        <v>43768</v>
      </c>
    </row>
    <row r="22" spans="1:13" ht="28.8" x14ac:dyDescent="0.3">
      <c r="A22" s="23" t="s">
        <v>42</v>
      </c>
      <c r="B22" s="15">
        <v>43794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defaultRowHeight="14.4" x14ac:dyDescent="0.3"/>
  <cols>
    <col min="1" max="1" width="10.88671875" customWidth="1"/>
    <col min="3" max="3" width="10.109375" customWidth="1"/>
    <col min="20" max="20" width="9.88671875" customWidth="1"/>
  </cols>
  <sheetData>
    <row r="1" spans="1:26" ht="57.6" x14ac:dyDescent="0.3">
      <c r="A1" s="1" t="s">
        <v>0</v>
      </c>
      <c r="B1" s="2" t="s">
        <v>1</v>
      </c>
      <c r="C1" s="2" t="s">
        <v>43</v>
      </c>
      <c r="D1" s="2" t="s">
        <v>44</v>
      </c>
      <c r="E1" s="2" t="s">
        <v>45</v>
      </c>
      <c r="F1" s="2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  <c r="L1" s="3" t="s">
        <v>52</v>
      </c>
      <c r="M1" s="3" t="s">
        <v>53</v>
      </c>
      <c r="N1" s="2" t="s">
        <v>54</v>
      </c>
      <c r="O1" s="2" t="s">
        <v>55</v>
      </c>
      <c r="P1" s="3" t="s">
        <v>56</v>
      </c>
      <c r="Q1" s="2" t="s">
        <v>57</v>
      </c>
      <c r="R1" s="3" t="s">
        <v>58</v>
      </c>
      <c r="S1" s="3" t="s">
        <v>59</v>
      </c>
      <c r="T1" s="2" t="s">
        <v>60</v>
      </c>
      <c r="U1" s="2" t="s">
        <v>61</v>
      </c>
      <c r="V1" s="2" t="s">
        <v>6</v>
      </c>
      <c r="W1" s="2" t="s">
        <v>7</v>
      </c>
      <c r="X1" s="2" t="s">
        <v>62</v>
      </c>
      <c r="Y1" s="2" t="s">
        <v>63</v>
      </c>
      <c r="Z1" s="4" t="s">
        <v>64</v>
      </c>
    </row>
    <row r="2" spans="1:26" x14ac:dyDescent="0.3">
      <c r="A2" s="5" t="s">
        <v>23</v>
      </c>
      <c r="B2" s="6">
        <v>0.7</v>
      </c>
      <c r="C2" s="7">
        <v>261</v>
      </c>
      <c r="D2" s="7">
        <v>8</v>
      </c>
      <c r="E2" s="8">
        <f t="shared" ref="E2:E17" si="0">(B2*C2)/(D2/8)</f>
        <v>182.7</v>
      </c>
      <c r="F2" s="7">
        <v>72</v>
      </c>
      <c r="G2" s="7">
        <f>40*B2</f>
        <v>28</v>
      </c>
      <c r="H2" s="13">
        <f>27*8*B2</f>
        <v>151.19999999999999</v>
      </c>
      <c r="I2" s="13">
        <f>27*B2</f>
        <v>18.899999999999999</v>
      </c>
      <c r="J2" s="8">
        <f>100*B2</f>
        <v>70</v>
      </c>
      <c r="K2" s="8">
        <f>20*B2</f>
        <v>14</v>
      </c>
      <c r="L2" s="8">
        <v>0</v>
      </c>
      <c r="M2" s="8">
        <v>0</v>
      </c>
      <c r="N2" s="8">
        <f>SUM(F2:M2)/(D2)</f>
        <v>44.262499999999996</v>
      </c>
      <c r="O2" s="13">
        <f t="shared" ref="O2:O17" si="1">E2-N2</f>
        <v>138.4375</v>
      </c>
      <c r="P2" s="7">
        <v>18</v>
      </c>
      <c r="Q2" s="8">
        <f t="shared" ref="Q2:Q17" si="2">O2*P2</f>
        <v>2491.875</v>
      </c>
      <c r="R2" s="9">
        <v>10888</v>
      </c>
      <c r="S2" s="7">
        <v>34836</v>
      </c>
      <c r="T2" s="6">
        <f>S2/R2</f>
        <v>3.1994856722997795</v>
      </c>
      <c r="U2" s="8">
        <f>Q2/T2</f>
        <v>778.83611780916294</v>
      </c>
      <c r="V2" s="8">
        <v>1058</v>
      </c>
      <c r="W2" s="10">
        <f t="shared" ref="W2:W17" si="3">V2/U2</f>
        <v>1.3584372576044812</v>
      </c>
      <c r="X2" s="7"/>
      <c r="Y2" s="11"/>
      <c r="Z2" s="12"/>
    </row>
    <row r="3" spans="1:26" x14ac:dyDescent="0.3">
      <c r="A3" s="5" t="s">
        <v>34</v>
      </c>
      <c r="B3" s="6">
        <v>1</v>
      </c>
      <c r="C3" s="7">
        <v>261</v>
      </c>
      <c r="D3" s="7">
        <v>8</v>
      </c>
      <c r="E3" s="8">
        <f t="shared" si="0"/>
        <v>261</v>
      </c>
      <c r="F3" s="7">
        <v>72</v>
      </c>
      <c r="G3" s="7">
        <f t="shared" ref="G3:G17" si="4">40*B3</f>
        <v>40</v>
      </c>
      <c r="H3" s="13">
        <f t="shared" ref="H3:H17" si="5">27*8*B3</f>
        <v>216</v>
      </c>
      <c r="I3" s="13">
        <f t="shared" ref="I3:I17" si="6">27*B3</f>
        <v>27</v>
      </c>
      <c r="J3" s="8">
        <f t="shared" ref="J3:J17" si="7">100*B3</f>
        <v>100</v>
      </c>
      <c r="K3" s="8">
        <f t="shared" ref="K3:K17" si="8">20*B3</f>
        <v>20</v>
      </c>
      <c r="L3" s="8">
        <v>8</v>
      </c>
      <c r="M3" s="8">
        <v>0</v>
      </c>
      <c r="N3" s="8">
        <f t="shared" ref="N3:N17" si="9">SUM(F3:M3)/(D3)</f>
        <v>60.375</v>
      </c>
      <c r="O3" s="13">
        <f t="shared" si="1"/>
        <v>200.625</v>
      </c>
      <c r="P3" s="7">
        <v>18</v>
      </c>
      <c r="Q3" s="8">
        <f t="shared" si="2"/>
        <v>3611.25</v>
      </c>
      <c r="R3" s="9">
        <v>10888</v>
      </c>
      <c r="S3" s="7">
        <v>34836</v>
      </c>
      <c r="T3" s="6">
        <f t="shared" ref="T3:T17" si="10">S3/R3</f>
        <v>3.1994856722997795</v>
      </c>
      <c r="U3" s="8">
        <f t="shared" ref="U3:U16" si="11">Q3/T3</f>
        <v>1128.6970375473647</v>
      </c>
      <c r="V3" s="8">
        <v>1095</v>
      </c>
      <c r="W3" s="10">
        <f t="shared" si="3"/>
        <v>0.97014518827781482</v>
      </c>
      <c r="X3" s="7"/>
      <c r="Y3" s="11"/>
      <c r="Z3" s="12"/>
    </row>
    <row r="4" spans="1:26" x14ac:dyDescent="0.3">
      <c r="A4" s="5" t="s">
        <v>13</v>
      </c>
      <c r="B4" s="6">
        <v>0.8</v>
      </c>
      <c r="C4" s="7">
        <v>261</v>
      </c>
      <c r="D4" s="7">
        <v>8</v>
      </c>
      <c r="E4" s="8">
        <f t="shared" si="0"/>
        <v>208.8</v>
      </c>
      <c r="F4" s="7">
        <v>72</v>
      </c>
      <c r="G4" s="7">
        <f t="shared" si="4"/>
        <v>32</v>
      </c>
      <c r="H4" s="13">
        <f t="shared" si="5"/>
        <v>172.8</v>
      </c>
      <c r="I4" s="13">
        <f t="shared" si="6"/>
        <v>21.6</v>
      </c>
      <c r="J4" s="8">
        <f t="shared" si="7"/>
        <v>80</v>
      </c>
      <c r="K4" s="8">
        <f t="shared" si="8"/>
        <v>16</v>
      </c>
      <c r="L4" s="8">
        <v>8</v>
      </c>
      <c r="M4" s="8">
        <v>12</v>
      </c>
      <c r="N4" s="8">
        <f t="shared" si="9"/>
        <v>51.800000000000004</v>
      </c>
      <c r="O4" s="13">
        <f t="shared" si="1"/>
        <v>157</v>
      </c>
      <c r="P4" s="7">
        <v>18</v>
      </c>
      <c r="Q4" s="8">
        <f t="shared" si="2"/>
        <v>2826</v>
      </c>
      <c r="R4" s="9">
        <v>10888</v>
      </c>
      <c r="S4" s="7">
        <v>34836</v>
      </c>
      <c r="T4" s="6">
        <f t="shared" si="10"/>
        <v>3.1994856722997795</v>
      </c>
      <c r="U4" s="8">
        <f t="shared" si="11"/>
        <v>883.26696520840505</v>
      </c>
      <c r="V4" s="8">
        <v>972</v>
      </c>
      <c r="W4" s="10">
        <f t="shared" si="3"/>
        <v>1.1004600401540643</v>
      </c>
      <c r="X4" s="7"/>
      <c r="Y4" s="11"/>
      <c r="Z4" s="12"/>
    </row>
    <row r="5" spans="1:26" x14ac:dyDescent="0.3">
      <c r="A5" s="5" t="s">
        <v>28</v>
      </c>
      <c r="B5" s="6">
        <v>1</v>
      </c>
      <c r="C5" s="7">
        <v>261</v>
      </c>
      <c r="D5" s="7">
        <v>8</v>
      </c>
      <c r="E5" s="8">
        <f t="shared" si="0"/>
        <v>261</v>
      </c>
      <c r="F5" s="7">
        <v>72</v>
      </c>
      <c r="G5" s="7">
        <f t="shared" si="4"/>
        <v>40</v>
      </c>
      <c r="H5" s="13">
        <f t="shared" si="5"/>
        <v>216</v>
      </c>
      <c r="I5" s="13">
        <f t="shared" si="6"/>
        <v>27</v>
      </c>
      <c r="J5" s="8">
        <f t="shared" si="7"/>
        <v>100</v>
      </c>
      <c r="K5" s="8">
        <f t="shared" si="8"/>
        <v>20</v>
      </c>
      <c r="L5" s="8">
        <v>8</v>
      </c>
      <c r="M5" s="8">
        <v>12</v>
      </c>
      <c r="N5" s="8">
        <f t="shared" si="9"/>
        <v>61.875</v>
      </c>
      <c r="O5" s="13">
        <f t="shared" si="1"/>
        <v>199.125</v>
      </c>
      <c r="P5" s="7">
        <v>18</v>
      </c>
      <c r="Q5" s="8">
        <f t="shared" si="2"/>
        <v>3584.25</v>
      </c>
      <c r="R5" s="9">
        <v>10888</v>
      </c>
      <c r="S5" s="7">
        <v>34836</v>
      </c>
      <c r="T5" s="6">
        <f t="shared" si="10"/>
        <v>3.1994856722997795</v>
      </c>
      <c r="U5" s="8">
        <f t="shared" si="11"/>
        <v>1120.2581811918706</v>
      </c>
      <c r="V5" s="8">
        <v>1296</v>
      </c>
      <c r="W5" s="10">
        <f t="shared" si="3"/>
        <v>1.1568761752948356</v>
      </c>
      <c r="X5" s="7"/>
      <c r="Y5" s="11"/>
      <c r="Z5" s="12"/>
    </row>
    <row r="6" spans="1:26" x14ac:dyDescent="0.3">
      <c r="A6" s="5" t="s">
        <v>26</v>
      </c>
      <c r="B6" s="6">
        <v>0.8</v>
      </c>
      <c r="C6" s="7">
        <v>261</v>
      </c>
      <c r="D6" s="7">
        <v>8</v>
      </c>
      <c r="E6" s="8">
        <f t="shared" si="0"/>
        <v>208.8</v>
      </c>
      <c r="F6" s="7">
        <v>72</v>
      </c>
      <c r="G6" s="7">
        <f t="shared" si="4"/>
        <v>32</v>
      </c>
      <c r="H6" s="13">
        <f t="shared" si="5"/>
        <v>172.8</v>
      </c>
      <c r="I6" s="13">
        <f t="shared" si="6"/>
        <v>21.6</v>
      </c>
      <c r="J6" s="8">
        <f t="shared" si="7"/>
        <v>80</v>
      </c>
      <c r="K6" s="8">
        <f t="shared" si="8"/>
        <v>16</v>
      </c>
      <c r="L6" s="8">
        <v>0</v>
      </c>
      <c r="M6" s="8">
        <v>0</v>
      </c>
      <c r="N6" s="8">
        <f t="shared" si="9"/>
        <v>49.300000000000004</v>
      </c>
      <c r="O6" s="13">
        <f t="shared" si="1"/>
        <v>159.5</v>
      </c>
      <c r="P6" s="7">
        <v>18</v>
      </c>
      <c r="Q6" s="8">
        <f t="shared" si="2"/>
        <v>2871</v>
      </c>
      <c r="R6" s="9">
        <v>10888</v>
      </c>
      <c r="S6" s="7">
        <v>34836</v>
      </c>
      <c r="T6" s="6">
        <f t="shared" si="10"/>
        <v>3.1994856722997795</v>
      </c>
      <c r="U6" s="8">
        <f t="shared" si="11"/>
        <v>897.33172580089558</v>
      </c>
      <c r="V6" s="8">
        <v>1048</v>
      </c>
      <c r="W6" s="10">
        <f t="shared" si="3"/>
        <v>1.167906995670557</v>
      </c>
      <c r="X6" s="7"/>
      <c r="Y6" s="11"/>
      <c r="Z6" s="12"/>
    </row>
    <row r="7" spans="1:26" x14ac:dyDescent="0.3">
      <c r="A7" s="5" t="s">
        <v>32</v>
      </c>
      <c r="B7" s="6">
        <v>0.7</v>
      </c>
      <c r="C7" s="7">
        <v>261</v>
      </c>
      <c r="D7" s="7">
        <v>8</v>
      </c>
      <c r="E7" s="8">
        <f t="shared" si="0"/>
        <v>182.7</v>
      </c>
      <c r="F7" s="7">
        <v>72</v>
      </c>
      <c r="G7" s="7">
        <f t="shared" si="4"/>
        <v>28</v>
      </c>
      <c r="H7" s="13">
        <f t="shared" si="5"/>
        <v>151.19999999999999</v>
      </c>
      <c r="I7" s="13">
        <f t="shared" si="6"/>
        <v>18.899999999999999</v>
      </c>
      <c r="J7" s="8">
        <f t="shared" si="7"/>
        <v>70</v>
      </c>
      <c r="K7" s="8">
        <f t="shared" si="8"/>
        <v>14</v>
      </c>
      <c r="L7" s="8">
        <v>0</v>
      </c>
      <c r="M7" s="8">
        <v>0</v>
      </c>
      <c r="N7" s="8">
        <f t="shared" si="9"/>
        <v>44.262499999999996</v>
      </c>
      <c r="O7" s="13">
        <f t="shared" si="1"/>
        <v>138.4375</v>
      </c>
      <c r="P7" s="7">
        <v>18</v>
      </c>
      <c r="Q7" s="8">
        <f t="shared" si="2"/>
        <v>2491.875</v>
      </c>
      <c r="R7" s="9">
        <v>10888</v>
      </c>
      <c r="S7" s="7">
        <v>34836</v>
      </c>
      <c r="T7" s="6">
        <f t="shared" si="10"/>
        <v>3.1994856722997795</v>
      </c>
      <c r="U7" s="8">
        <f t="shared" si="11"/>
        <v>778.83611780916294</v>
      </c>
      <c r="V7" s="8">
        <v>755</v>
      </c>
      <c r="W7" s="10">
        <f t="shared" si="3"/>
        <v>0.96939520745877439</v>
      </c>
      <c r="X7" s="7"/>
      <c r="Y7" s="11"/>
      <c r="Z7" s="12"/>
    </row>
    <row r="8" spans="1:26" x14ac:dyDescent="0.3">
      <c r="A8" s="5" t="s">
        <v>17</v>
      </c>
      <c r="B8" s="6">
        <v>1</v>
      </c>
      <c r="C8" s="7">
        <v>261</v>
      </c>
      <c r="D8" s="7">
        <v>8</v>
      </c>
      <c r="E8" s="8">
        <f t="shared" si="0"/>
        <v>261</v>
      </c>
      <c r="F8" s="7">
        <v>72</v>
      </c>
      <c r="G8" s="7">
        <f t="shared" si="4"/>
        <v>40</v>
      </c>
      <c r="H8" s="13">
        <f t="shared" si="5"/>
        <v>216</v>
      </c>
      <c r="I8" s="13">
        <f t="shared" si="6"/>
        <v>27</v>
      </c>
      <c r="J8" s="8">
        <f t="shared" si="7"/>
        <v>100</v>
      </c>
      <c r="K8" s="8">
        <f t="shared" si="8"/>
        <v>20</v>
      </c>
      <c r="L8" s="8">
        <v>96</v>
      </c>
      <c r="M8" s="8">
        <v>12</v>
      </c>
      <c r="N8" s="8">
        <f t="shared" si="9"/>
        <v>72.875</v>
      </c>
      <c r="O8" s="13">
        <f t="shared" si="1"/>
        <v>188.125</v>
      </c>
      <c r="P8" s="7">
        <v>18</v>
      </c>
      <c r="Q8" s="8">
        <f t="shared" si="2"/>
        <v>3386.25</v>
      </c>
      <c r="R8" s="9">
        <v>10888</v>
      </c>
      <c r="S8" s="7">
        <v>34836</v>
      </c>
      <c r="T8" s="6">
        <f t="shared" si="10"/>
        <v>3.1994856722997795</v>
      </c>
      <c r="U8" s="8">
        <f t="shared" si="11"/>
        <v>1058.3732345849121</v>
      </c>
      <c r="V8" s="8">
        <v>1273</v>
      </c>
      <c r="W8" s="10">
        <f t="shared" si="3"/>
        <v>1.2027892981432615</v>
      </c>
      <c r="X8" s="7"/>
      <c r="Y8" s="11"/>
      <c r="Z8" s="12"/>
    </row>
    <row r="9" spans="1:26" x14ac:dyDescent="0.3">
      <c r="A9" s="5" t="s">
        <v>36</v>
      </c>
      <c r="B9" s="6">
        <v>0.8</v>
      </c>
      <c r="C9" s="7">
        <v>261</v>
      </c>
      <c r="D9" s="7">
        <v>8</v>
      </c>
      <c r="E9" s="8">
        <f t="shared" si="0"/>
        <v>208.8</v>
      </c>
      <c r="F9" s="7">
        <v>72</v>
      </c>
      <c r="G9" s="7">
        <f t="shared" si="4"/>
        <v>32</v>
      </c>
      <c r="H9" s="13">
        <f t="shared" si="5"/>
        <v>172.8</v>
      </c>
      <c r="I9" s="13">
        <f t="shared" si="6"/>
        <v>21.6</v>
      </c>
      <c r="J9" s="8">
        <f t="shared" si="7"/>
        <v>80</v>
      </c>
      <c r="K9" s="8">
        <f t="shared" si="8"/>
        <v>16</v>
      </c>
      <c r="L9" s="8">
        <v>0</v>
      </c>
      <c r="M9" s="8">
        <v>0</v>
      </c>
      <c r="N9" s="8">
        <f t="shared" si="9"/>
        <v>49.300000000000004</v>
      </c>
      <c r="O9" s="13">
        <f t="shared" si="1"/>
        <v>159.5</v>
      </c>
      <c r="P9" s="7">
        <v>18</v>
      </c>
      <c r="Q9" s="8">
        <f t="shared" si="2"/>
        <v>2871</v>
      </c>
      <c r="R9" s="9">
        <v>10888</v>
      </c>
      <c r="S9" s="7">
        <v>34836</v>
      </c>
      <c r="T9" s="6">
        <f t="shared" si="10"/>
        <v>3.1994856722997795</v>
      </c>
      <c r="U9" s="8">
        <f t="shared" si="11"/>
        <v>897.33172580089558</v>
      </c>
      <c r="V9" s="8">
        <v>1017</v>
      </c>
      <c r="W9" s="10">
        <f t="shared" si="3"/>
        <v>1.1333601284322103</v>
      </c>
      <c r="X9" s="7"/>
      <c r="Y9" s="11"/>
      <c r="Z9" s="12"/>
    </row>
    <row r="10" spans="1:26" x14ac:dyDescent="0.3">
      <c r="A10" s="5" t="s">
        <v>27</v>
      </c>
      <c r="B10" s="6">
        <v>0.8</v>
      </c>
      <c r="C10" s="7">
        <v>261</v>
      </c>
      <c r="D10" s="7">
        <v>8</v>
      </c>
      <c r="E10" s="8">
        <f t="shared" si="0"/>
        <v>208.8</v>
      </c>
      <c r="F10" s="7">
        <v>72</v>
      </c>
      <c r="G10" s="7">
        <f t="shared" si="4"/>
        <v>32</v>
      </c>
      <c r="H10" s="13">
        <f t="shared" si="5"/>
        <v>172.8</v>
      </c>
      <c r="I10" s="13">
        <f t="shared" si="6"/>
        <v>21.6</v>
      </c>
      <c r="J10" s="8">
        <f t="shared" si="7"/>
        <v>80</v>
      </c>
      <c r="K10" s="8">
        <f t="shared" si="8"/>
        <v>16</v>
      </c>
      <c r="L10" s="8">
        <v>8</v>
      </c>
      <c r="M10" s="8">
        <v>36</v>
      </c>
      <c r="N10" s="8">
        <f t="shared" si="9"/>
        <v>54.800000000000004</v>
      </c>
      <c r="O10" s="13">
        <f t="shared" si="1"/>
        <v>154</v>
      </c>
      <c r="P10" s="7">
        <v>18</v>
      </c>
      <c r="Q10" s="8">
        <f t="shared" si="2"/>
        <v>2772</v>
      </c>
      <c r="R10" s="9">
        <v>10888</v>
      </c>
      <c r="S10" s="7">
        <v>34836</v>
      </c>
      <c r="T10" s="6">
        <f t="shared" si="10"/>
        <v>3.1994856722997795</v>
      </c>
      <c r="U10" s="8">
        <f t="shared" si="11"/>
        <v>866.38925249741646</v>
      </c>
      <c r="V10" s="8">
        <v>886</v>
      </c>
      <c r="W10" s="10">
        <f t="shared" si="3"/>
        <v>1.0226350309010117</v>
      </c>
      <c r="X10" s="7"/>
      <c r="Y10" s="11"/>
      <c r="Z10" s="12"/>
    </row>
    <row r="11" spans="1:26" x14ac:dyDescent="0.3">
      <c r="A11" s="5" t="s">
        <v>33</v>
      </c>
      <c r="B11" s="6">
        <v>1</v>
      </c>
      <c r="C11" s="7">
        <v>261</v>
      </c>
      <c r="D11" s="7">
        <v>8</v>
      </c>
      <c r="E11" s="8">
        <f t="shared" si="0"/>
        <v>261</v>
      </c>
      <c r="F11" s="7">
        <v>72</v>
      </c>
      <c r="G11" s="7">
        <f t="shared" si="4"/>
        <v>40</v>
      </c>
      <c r="H11" s="13">
        <f t="shared" si="5"/>
        <v>216</v>
      </c>
      <c r="I11" s="13">
        <f t="shared" si="6"/>
        <v>27</v>
      </c>
      <c r="J11" s="8">
        <f t="shared" si="7"/>
        <v>100</v>
      </c>
      <c r="K11" s="8">
        <f t="shared" si="8"/>
        <v>20</v>
      </c>
      <c r="L11" s="8">
        <v>24</v>
      </c>
      <c r="M11" s="8">
        <v>36</v>
      </c>
      <c r="N11" s="8">
        <f t="shared" si="9"/>
        <v>66.875</v>
      </c>
      <c r="O11" s="13">
        <f t="shared" si="1"/>
        <v>194.125</v>
      </c>
      <c r="P11" s="7">
        <v>18</v>
      </c>
      <c r="Q11" s="8">
        <f t="shared" si="2"/>
        <v>3494.25</v>
      </c>
      <c r="R11" s="9">
        <v>10888</v>
      </c>
      <c r="S11" s="7">
        <v>34836</v>
      </c>
      <c r="T11" s="6">
        <f t="shared" si="10"/>
        <v>3.1994856722997795</v>
      </c>
      <c r="U11" s="8">
        <f t="shared" si="11"/>
        <v>1092.1286600068895</v>
      </c>
      <c r="V11" s="8">
        <v>1015</v>
      </c>
      <c r="W11" s="10">
        <f t="shared" si="3"/>
        <v>0.92937767972648666</v>
      </c>
      <c r="X11" s="7"/>
      <c r="Y11" s="11"/>
      <c r="Z11" s="12"/>
    </row>
    <row r="12" spans="1:26" x14ac:dyDescent="0.3">
      <c r="A12" s="5" t="s">
        <v>37</v>
      </c>
      <c r="B12" s="6">
        <v>0.8</v>
      </c>
      <c r="C12" s="7">
        <v>261</v>
      </c>
      <c r="D12" s="7">
        <v>8</v>
      </c>
      <c r="E12" s="8">
        <f>(B12*C12)/(D12/8)</f>
        <v>208.8</v>
      </c>
      <c r="F12" s="7">
        <v>72</v>
      </c>
      <c r="G12" s="7">
        <f t="shared" si="4"/>
        <v>32</v>
      </c>
      <c r="H12" s="13">
        <f t="shared" si="5"/>
        <v>172.8</v>
      </c>
      <c r="I12" s="13">
        <f t="shared" si="6"/>
        <v>21.6</v>
      </c>
      <c r="J12" s="8">
        <f t="shared" si="7"/>
        <v>80</v>
      </c>
      <c r="K12" s="8">
        <f t="shared" si="8"/>
        <v>16</v>
      </c>
      <c r="L12" s="8">
        <v>0</v>
      </c>
      <c r="M12" s="8">
        <v>0</v>
      </c>
      <c r="N12" s="8">
        <f t="shared" si="9"/>
        <v>49.300000000000004</v>
      </c>
      <c r="O12" s="13">
        <f>E12-N12</f>
        <v>159.5</v>
      </c>
      <c r="P12" s="7">
        <v>18</v>
      </c>
      <c r="Q12" s="8">
        <f>O12*P12</f>
        <v>2871</v>
      </c>
      <c r="R12" s="9">
        <v>10888</v>
      </c>
      <c r="S12" s="7">
        <v>34836</v>
      </c>
      <c r="T12" s="6">
        <f t="shared" si="10"/>
        <v>3.1994856722997795</v>
      </c>
      <c r="U12" s="8">
        <f>Q12/T12</f>
        <v>897.33172580089558</v>
      </c>
      <c r="V12" s="8">
        <v>1093</v>
      </c>
      <c r="W12" s="10">
        <f>V12/U12</f>
        <v>1.2180556739197699</v>
      </c>
      <c r="X12" s="7"/>
      <c r="Y12" s="11"/>
      <c r="Z12" s="12"/>
    </row>
    <row r="13" spans="1:26" x14ac:dyDescent="0.3">
      <c r="A13" s="5" t="s">
        <v>35</v>
      </c>
      <c r="B13" s="6">
        <v>1</v>
      </c>
      <c r="C13" s="7">
        <v>261</v>
      </c>
      <c r="D13" s="7">
        <v>8</v>
      </c>
      <c r="E13" s="8">
        <f t="shared" si="0"/>
        <v>261</v>
      </c>
      <c r="F13" s="7">
        <v>72</v>
      </c>
      <c r="G13" s="7">
        <f t="shared" si="4"/>
        <v>40</v>
      </c>
      <c r="H13" s="13">
        <f t="shared" si="5"/>
        <v>216</v>
      </c>
      <c r="I13" s="13">
        <f t="shared" si="6"/>
        <v>27</v>
      </c>
      <c r="J13" s="8">
        <f t="shared" si="7"/>
        <v>100</v>
      </c>
      <c r="K13" s="8">
        <f t="shared" si="8"/>
        <v>20</v>
      </c>
      <c r="L13" s="8">
        <v>0</v>
      </c>
      <c r="M13" s="8">
        <v>0</v>
      </c>
      <c r="N13" s="8">
        <f t="shared" si="9"/>
        <v>59.375</v>
      </c>
      <c r="O13" s="13">
        <f t="shared" si="1"/>
        <v>201.625</v>
      </c>
      <c r="P13" s="7">
        <v>18</v>
      </c>
      <c r="Q13" s="8">
        <f t="shared" si="2"/>
        <v>3629.25</v>
      </c>
      <c r="R13" s="9">
        <v>10888</v>
      </c>
      <c r="S13" s="7">
        <v>34836</v>
      </c>
      <c r="T13" s="6">
        <f t="shared" si="10"/>
        <v>3.1994856722997795</v>
      </c>
      <c r="U13" s="8">
        <f t="shared" si="11"/>
        <v>1134.3229417843611</v>
      </c>
      <c r="V13" s="8">
        <v>319</v>
      </c>
      <c r="W13" s="10">
        <f t="shared" si="3"/>
        <v>0.28122502706168756</v>
      </c>
      <c r="X13" s="7"/>
      <c r="Y13" s="11"/>
      <c r="Z13" s="12"/>
    </row>
    <row r="14" spans="1:26" x14ac:dyDescent="0.3">
      <c r="A14" s="5" t="s">
        <v>30</v>
      </c>
      <c r="B14" s="6">
        <v>1</v>
      </c>
      <c r="C14" s="7">
        <v>261</v>
      </c>
      <c r="D14" s="7">
        <v>8</v>
      </c>
      <c r="E14" s="8">
        <f t="shared" si="0"/>
        <v>261</v>
      </c>
      <c r="F14" s="7">
        <v>72</v>
      </c>
      <c r="G14" s="7">
        <f t="shared" si="4"/>
        <v>40</v>
      </c>
      <c r="H14" s="13">
        <f t="shared" si="5"/>
        <v>216</v>
      </c>
      <c r="I14" s="13">
        <f t="shared" si="6"/>
        <v>27</v>
      </c>
      <c r="J14" s="8">
        <f t="shared" si="7"/>
        <v>100</v>
      </c>
      <c r="K14" s="8">
        <f t="shared" si="8"/>
        <v>20</v>
      </c>
      <c r="L14" s="8">
        <v>8</v>
      </c>
      <c r="M14" s="8">
        <v>0</v>
      </c>
      <c r="N14" s="8">
        <f t="shared" si="9"/>
        <v>60.375</v>
      </c>
      <c r="O14" s="13">
        <f t="shared" si="1"/>
        <v>200.625</v>
      </c>
      <c r="P14" s="7">
        <v>18</v>
      </c>
      <c r="Q14" s="8">
        <f t="shared" si="2"/>
        <v>3611.25</v>
      </c>
      <c r="R14" s="9">
        <v>10888</v>
      </c>
      <c r="S14" s="7">
        <v>34836</v>
      </c>
      <c r="T14" s="6">
        <f t="shared" si="10"/>
        <v>3.1994856722997795</v>
      </c>
      <c r="U14" s="8">
        <f t="shared" si="11"/>
        <v>1128.6970375473647</v>
      </c>
      <c r="V14" s="8">
        <v>0</v>
      </c>
      <c r="W14" s="10">
        <f t="shared" si="3"/>
        <v>0</v>
      </c>
      <c r="X14" s="7"/>
      <c r="Y14" s="11"/>
      <c r="Z14" s="12"/>
    </row>
    <row r="15" spans="1:26" x14ac:dyDescent="0.3">
      <c r="A15" s="5" t="s">
        <v>38</v>
      </c>
      <c r="B15" s="6">
        <f>SUM(B2:B14)</f>
        <v>11.4</v>
      </c>
      <c r="C15" s="7">
        <v>261</v>
      </c>
      <c r="D15" s="7">
        <v>8</v>
      </c>
      <c r="E15" s="8">
        <f t="shared" si="0"/>
        <v>2975.4</v>
      </c>
      <c r="F15" s="8">
        <f>SUM(F2:F14)</f>
        <v>936</v>
      </c>
      <c r="G15" s="7">
        <f t="shared" si="4"/>
        <v>456</v>
      </c>
      <c r="H15" s="8">
        <f t="shared" si="5"/>
        <v>2462.4</v>
      </c>
      <c r="I15" s="13">
        <f t="shared" si="6"/>
        <v>307.8</v>
      </c>
      <c r="J15" s="8">
        <f t="shared" si="7"/>
        <v>1140</v>
      </c>
      <c r="K15" s="8">
        <f t="shared" si="8"/>
        <v>228</v>
      </c>
      <c r="L15" s="8">
        <f>SUM(L2:L14)</f>
        <v>160</v>
      </c>
      <c r="M15" s="8">
        <f>SUM(M2:M14)</f>
        <v>108</v>
      </c>
      <c r="N15" s="8">
        <f t="shared" si="9"/>
        <v>724.77499999999998</v>
      </c>
      <c r="O15" s="13">
        <f t="shared" si="1"/>
        <v>2250.625</v>
      </c>
      <c r="P15" s="7">
        <v>18</v>
      </c>
      <c r="Q15" s="8">
        <f t="shared" si="2"/>
        <v>40511.25</v>
      </c>
      <c r="R15" s="9">
        <v>10888</v>
      </c>
      <c r="S15" s="7">
        <v>34836</v>
      </c>
      <c r="T15" s="6">
        <f t="shared" si="10"/>
        <v>3.1994856722997795</v>
      </c>
      <c r="U15" s="8">
        <f t="shared" si="11"/>
        <v>12661.800723389597</v>
      </c>
      <c r="V15" s="8">
        <f>SUM(V2:V14)</f>
        <v>11827</v>
      </c>
      <c r="W15" s="10">
        <f t="shared" si="3"/>
        <v>0.93406935224880727</v>
      </c>
      <c r="X15" s="24"/>
      <c r="Y15" s="25"/>
      <c r="Z15" s="26"/>
    </row>
    <row r="16" spans="1:26" x14ac:dyDescent="0.3">
      <c r="A16" s="5" t="s">
        <v>39</v>
      </c>
      <c r="B16" s="6">
        <f>SUM(B3,B7,B9,B11,B13)</f>
        <v>4.5</v>
      </c>
      <c r="C16" s="7">
        <v>261</v>
      </c>
      <c r="D16" s="7">
        <v>8</v>
      </c>
      <c r="E16" s="8">
        <f t="shared" si="0"/>
        <v>1174.5</v>
      </c>
      <c r="F16" s="8">
        <f>SUM(F3,F7,F9,F11,F13)</f>
        <v>360</v>
      </c>
      <c r="G16" s="8">
        <f t="shared" si="4"/>
        <v>180</v>
      </c>
      <c r="H16" s="13">
        <f t="shared" si="5"/>
        <v>972</v>
      </c>
      <c r="I16" s="13">
        <f t="shared" si="6"/>
        <v>121.5</v>
      </c>
      <c r="J16" s="8">
        <f t="shared" si="7"/>
        <v>450</v>
      </c>
      <c r="K16" s="8">
        <f t="shared" si="8"/>
        <v>90</v>
      </c>
      <c r="L16" s="8">
        <f>SUM(L3,L7,L9,L11,L13)</f>
        <v>32</v>
      </c>
      <c r="M16" s="8">
        <f>SUM(M3,M7,M9,M11,M13)</f>
        <v>36</v>
      </c>
      <c r="N16" s="8">
        <f t="shared" si="9"/>
        <v>280.1875</v>
      </c>
      <c r="O16" s="13">
        <f t="shared" si="1"/>
        <v>894.3125</v>
      </c>
      <c r="P16" s="7">
        <v>18</v>
      </c>
      <c r="Q16" s="8">
        <f t="shared" si="2"/>
        <v>16097.625</v>
      </c>
      <c r="R16" s="9">
        <v>10888</v>
      </c>
      <c r="S16" s="7">
        <v>34836</v>
      </c>
      <c r="T16" s="6">
        <f t="shared" si="10"/>
        <v>3.1994856722997795</v>
      </c>
      <c r="U16" s="8">
        <f t="shared" si="11"/>
        <v>5031.3164829486741</v>
      </c>
      <c r="V16" s="8">
        <f>SUM(V3,V7,V9,V11,V13)</f>
        <v>4201</v>
      </c>
      <c r="W16" s="10">
        <f t="shared" si="3"/>
        <v>0.83497033315979052</v>
      </c>
      <c r="X16" s="27"/>
      <c r="Y16" s="28"/>
      <c r="Z16" s="29"/>
    </row>
    <row r="17" spans="1:26" x14ac:dyDescent="0.3">
      <c r="A17" s="5" t="s">
        <v>40</v>
      </c>
      <c r="B17" s="6">
        <f>SUM(B2,B4,B5,B6,B8,B10,B12,B14)</f>
        <v>6.8999999999999995</v>
      </c>
      <c r="C17" s="7">
        <v>261</v>
      </c>
      <c r="D17" s="7">
        <v>8</v>
      </c>
      <c r="E17" s="8">
        <f t="shared" si="0"/>
        <v>1800.8999999999999</v>
      </c>
      <c r="F17" s="8">
        <f>SUM(F2,F4,F5,F6,F8,F10,F12,F14)</f>
        <v>576</v>
      </c>
      <c r="G17" s="8">
        <f t="shared" si="4"/>
        <v>276</v>
      </c>
      <c r="H17" s="13">
        <f t="shared" si="5"/>
        <v>1490.3999999999999</v>
      </c>
      <c r="I17" s="13">
        <f t="shared" si="6"/>
        <v>186.29999999999998</v>
      </c>
      <c r="J17" s="8">
        <f t="shared" si="7"/>
        <v>690</v>
      </c>
      <c r="K17" s="8">
        <f t="shared" si="8"/>
        <v>138</v>
      </c>
      <c r="L17" s="8">
        <f>SUM(L2,L4,L5,L6,L8,L10,L12,L14)</f>
        <v>128</v>
      </c>
      <c r="M17" s="8">
        <f>SUM(M2,M4,M5,M6,M8,M10,M12,M14)</f>
        <v>72</v>
      </c>
      <c r="N17" s="8">
        <f t="shared" si="9"/>
        <v>444.58749999999998</v>
      </c>
      <c r="O17" s="13">
        <f t="shared" si="1"/>
        <v>1356.3125</v>
      </c>
      <c r="P17" s="7">
        <v>18</v>
      </c>
      <c r="Q17" s="8">
        <f t="shared" si="2"/>
        <v>24413.625</v>
      </c>
      <c r="R17" s="9">
        <v>10888</v>
      </c>
      <c r="S17" s="7">
        <v>34836</v>
      </c>
      <c r="T17" s="6">
        <f t="shared" si="10"/>
        <v>3.1994856722997795</v>
      </c>
      <c r="U17" s="8">
        <f>Q17/T17</f>
        <v>7630.4842404409237</v>
      </c>
      <c r="V17" s="8">
        <f>SUM(V2,V4,V5,V6,V8,V10,V12,V14)</f>
        <v>7626</v>
      </c>
      <c r="W17" s="10">
        <f t="shared" si="3"/>
        <v>0.99941232557467874</v>
      </c>
      <c r="X17" s="30"/>
      <c r="Y17" s="31"/>
      <c r="Z17" s="32"/>
    </row>
    <row r="19" spans="1:26" ht="15" thickBot="1" x14ac:dyDescent="0.35"/>
    <row r="20" spans="1:26" ht="57.6" x14ac:dyDescent="0.3">
      <c r="A20" s="1" t="s">
        <v>0</v>
      </c>
      <c r="B20" s="2" t="s">
        <v>1</v>
      </c>
      <c r="C20" s="2" t="s">
        <v>43</v>
      </c>
      <c r="D20" s="2" t="s">
        <v>44</v>
      </c>
      <c r="E20" s="2" t="s">
        <v>45</v>
      </c>
      <c r="F20" s="2" t="s">
        <v>46</v>
      </c>
      <c r="G20" s="3" t="s">
        <v>47</v>
      </c>
      <c r="H20" s="3" t="s">
        <v>48</v>
      </c>
      <c r="I20" s="3" t="s">
        <v>49</v>
      </c>
      <c r="J20" s="3" t="s">
        <v>50</v>
      </c>
      <c r="K20" s="3" t="s">
        <v>51</v>
      </c>
      <c r="L20" s="3" t="s">
        <v>52</v>
      </c>
      <c r="M20" s="3" t="s">
        <v>53</v>
      </c>
      <c r="N20" s="2" t="s">
        <v>54</v>
      </c>
      <c r="O20" s="2" t="s">
        <v>55</v>
      </c>
      <c r="P20" s="3" t="s">
        <v>56</v>
      </c>
      <c r="Q20" s="2" t="s">
        <v>57</v>
      </c>
      <c r="R20" s="3" t="s">
        <v>58</v>
      </c>
      <c r="S20" s="3" t="s">
        <v>59</v>
      </c>
      <c r="T20" s="2" t="s">
        <v>60</v>
      </c>
      <c r="U20" s="2" t="s">
        <v>61</v>
      </c>
      <c r="V20" s="2" t="s">
        <v>6</v>
      </c>
      <c r="W20" s="2" t="s">
        <v>7</v>
      </c>
      <c r="X20" s="2" t="s">
        <v>62</v>
      </c>
      <c r="Y20" s="2" t="s">
        <v>63</v>
      </c>
      <c r="Z20" s="4" t="s">
        <v>64</v>
      </c>
    </row>
    <row r="21" spans="1:26" x14ac:dyDescent="0.3">
      <c r="A21" s="5" t="s">
        <v>65</v>
      </c>
      <c r="B21" s="6">
        <v>0.7</v>
      </c>
      <c r="C21" s="7">
        <v>261</v>
      </c>
      <c r="D21" s="7">
        <v>8</v>
      </c>
      <c r="E21" s="8">
        <f t="shared" ref="E21:E22" si="12">(B21*C21)/(D21/8)</f>
        <v>182.7</v>
      </c>
      <c r="F21" s="7">
        <v>72</v>
      </c>
      <c r="G21" s="7">
        <f>40*B21</f>
        <v>28</v>
      </c>
      <c r="H21" s="13">
        <f>27*8*B21</f>
        <v>151.19999999999999</v>
      </c>
      <c r="I21" s="13">
        <f>27*B21</f>
        <v>18.899999999999999</v>
      </c>
      <c r="J21" s="8">
        <f>100*B21</f>
        <v>70</v>
      </c>
      <c r="K21" s="8">
        <f>20*B21</f>
        <v>14</v>
      </c>
      <c r="L21" s="8">
        <v>0</v>
      </c>
      <c r="M21" s="8">
        <v>0</v>
      </c>
      <c r="N21" s="8">
        <f>SUM(F21:M21)/(D21)</f>
        <v>44.262499999999996</v>
      </c>
      <c r="O21" s="13">
        <f t="shared" ref="O21:O22" si="13">E21-N21</f>
        <v>138.4375</v>
      </c>
      <c r="P21" s="7">
        <v>18</v>
      </c>
      <c r="Q21" s="8">
        <f t="shared" ref="Q21:Q22" si="14">O21*P21</f>
        <v>2491.875</v>
      </c>
      <c r="R21" s="9">
        <v>10888</v>
      </c>
      <c r="S21" s="7">
        <v>34836</v>
      </c>
      <c r="T21" s="6">
        <f t="shared" ref="T21:T22" si="15">S21/R21</f>
        <v>3.1994856722997795</v>
      </c>
      <c r="U21" s="8">
        <f>Q21/T21</f>
        <v>778.83611780916294</v>
      </c>
      <c r="V21" s="8">
        <v>1058</v>
      </c>
      <c r="W21" s="10">
        <f t="shared" ref="W21:W22" si="16">V21/U21</f>
        <v>1.3584372576044812</v>
      </c>
      <c r="X21" s="7"/>
      <c r="Y21" s="11"/>
      <c r="Z21" s="12"/>
    </row>
    <row r="22" spans="1:26" x14ac:dyDescent="0.3">
      <c r="A22" s="5" t="s">
        <v>66</v>
      </c>
      <c r="B22" s="6">
        <v>1</v>
      </c>
      <c r="C22" s="7">
        <v>261</v>
      </c>
      <c r="D22" s="7">
        <v>8</v>
      </c>
      <c r="E22" s="8">
        <f t="shared" si="12"/>
        <v>261</v>
      </c>
      <c r="F22" s="7">
        <v>0</v>
      </c>
      <c r="G22" s="7">
        <v>0</v>
      </c>
      <c r="H22" s="13">
        <v>0</v>
      </c>
      <c r="I22" s="13">
        <v>0</v>
      </c>
      <c r="J22" s="8">
        <v>0</v>
      </c>
      <c r="K22" s="8">
        <v>0</v>
      </c>
      <c r="L22" s="8">
        <v>0</v>
      </c>
      <c r="M22" s="8">
        <v>0</v>
      </c>
      <c r="N22" s="8">
        <f t="shared" ref="N22" si="17">SUM(F22:M22)/(D22)</f>
        <v>0</v>
      </c>
      <c r="O22" s="13">
        <f t="shared" si="13"/>
        <v>261</v>
      </c>
      <c r="P22" s="7">
        <v>18</v>
      </c>
      <c r="Q22" s="8">
        <f t="shared" si="14"/>
        <v>4698</v>
      </c>
      <c r="R22" s="9">
        <v>10888</v>
      </c>
      <c r="S22" s="7">
        <v>34836</v>
      </c>
      <c r="T22" s="6">
        <f t="shared" si="15"/>
        <v>3.1994856722997795</v>
      </c>
      <c r="U22" s="8">
        <f t="shared" ref="U22" si="18">Q22/T22</f>
        <v>1468.3610058560109</v>
      </c>
      <c r="V22" s="8">
        <v>1095</v>
      </c>
      <c r="W22" s="10">
        <f t="shared" si="16"/>
        <v>0.74572941915033186</v>
      </c>
      <c r="X22" s="7"/>
      <c r="Y22" s="11"/>
      <c r="Z22" s="12"/>
    </row>
  </sheetData>
  <mergeCells count="1">
    <mergeCell ref="X15:Z1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7634d70-664a-4940-b0c3-62aa4e0f0547">
      <UserInfo>
        <DisplayName>Navdeep Nagra</DisplayName>
        <AccountId>844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7C3231FF7C404794F5D26ECD2A78FD" ma:contentTypeVersion="11" ma:contentTypeDescription="Create a new document." ma:contentTypeScope="" ma:versionID="360ec4497153749b73f541bfdb683ace">
  <xsd:schema xmlns:xsd="http://www.w3.org/2001/XMLSchema" xmlns:xs="http://www.w3.org/2001/XMLSchema" xmlns:p="http://schemas.microsoft.com/office/2006/metadata/properties" xmlns:ns2="c7634d70-664a-4940-b0c3-62aa4e0f0547" xmlns:ns3="ac04944e-3fa0-486e-a58d-5029206c4115" targetNamespace="http://schemas.microsoft.com/office/2006/metadata/properties" ma:root="true" ma:fieldsID="1d4173985a5f473d8ff4dd509b23dc36" ns2:_="" ns3:_="">
    <xsd:import namespace="c7634d70-664a-4940-b0c3-62aa4e0f0547"/>
    <xsd:import namespace="ac04944e-3fa0-486e-a58d-5029206c41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34d70-664a-4940-b0c3-62aa4e0f05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4944e-3fa0-486e-a58d-5029206c4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3BCFA-6C75-400D-BD8C-1C4A0AB21B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9E1F3-83E1-4739-8434-F4B79B82391C}">
  <ds:schemaRefs>
    <ds:schemaRef ds:uri="c7634d70-664a-4940-b0c3-62aa4e0f0547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c04944e-3fa0-486e-a58d-5029206c411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E5E748-9E5C-4E8B-ABC3-80222CE77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34d70-664a-4940-b0c3-62aa4e0f0547"/>
    <ds:schemaRef ds:uri="ac04944e-3fa0-486e-a58d-5029206c4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Medical Capacity</vt:lpstr>
      <vt:lpstr>Correction Worksheet-Med</vt:lpstr>
    </vt:vector>
  </TitlesOfParts>
  <Manager/>
  <Company>Chapa-De Indian Health Program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Bettencourt</dc:creator>
  <cp:keywords/>
  <dc:description/>
  <cp:lastModifiedBy>Brandon Bettencourt</cp:lastModifiedBy>
  <cp:revision/>
  <dcterms:created xsi:type="dcterms:W3CDTF">2018-09-12T23:05:39Z</dcterms:created>
  <dcterms:modified xsi:type="dcterms:W3CDTF">2019-12-03T00:47:28Z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0x010100857C3231FF7C404794F5D26ECD2A78FD</vt:lpwstr>
  </property>
  <property fmtid="{D5CDD505-2E9C-101B-9397-08002B2CF9AE}" pid="3" name="AuthorIds_UIVersion_14848">
    <vt:lpwstr>95</vt:lpwstr>
  </property>
</Properties>
</file>